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<sst xmlns="http://schemas.openxmlformats.org/spreadsheetml/2006/main" count="2897" uniqueCount="2087">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</sst>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34" applyFont="1" applyFill="1" applyBorder="1" applyAlignment="1" applyProtection="1">
      <alignment horizontal="center" vertical="center"/>
      <protection/>
    </xf>
    <xf numFmtId="0" fontId="323" fillId="52" borderId="15" xfId="34" applyFont="1" applyFill="1" applyBorder="1" applyAlignment="1" applyProtection="1">
      <alignment horizontal="center" vertical="center"/>
      <protection/>
    </xf>
    <xf numFmtId="0" fontId="323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3" t="str">
        <f>+OTCHET!B9</f>
        <v>Твърдица</v>
      </c>
      <c r="C2" s="1724"/>
      <c r="D2" s="1725"/>
      <c r="E2" s="1008"/>
      <c r="F2" s="1009">
        <f>+OTCHET!H9</f>
        <v>0</v>
      </c>
      <c r="G2" s="1010" t="str">
        <f>+OTCHET!F12</f>
        <v>7004</v>
      </c>
      <c r="H2" s="1011"/>
      <c r="I2" s="1726">
        <f>+OTCHET!H607</f>
        <v>0</v>
      </c>
      <c r="J2" s="1727"/>
      <c r="K2" s="1002"/>
      <c r="L2" s="1728">
        <f>OTCHET!H605</f>
        <v>0</v>
      </c>
      <c r="M2" s="1729"/>
      <c r="N2" s="1730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978</v>
      </c>
      <c r="T2" s="1731">
        <f>+OTCHET!I9</f>
        <v>0</v>
      </c>
      <c r="U2" s="1732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3" t="s">
        <v>981</v>
      </c>
      <c r="T4" s="1733"/>
      <c r="U4" s="1733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734">
        <f>+Q4</f>
        <v>2023</v>
      </c>
      <c r="T6" s="1734"/>
      <c r="U6" s="1734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4" t="s">
        <v>960</v>
      </c>
      <c r="T8" s="1715"/>
      <c r="U8" s="1716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717" t="s">
        <v>961</v>
      </c>
      <c r="T9" s="1718"/>
      <c r="U9" s="1719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998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9" t="s">
        <v>1979</v>
      </c>
      <c r="T14" s="1670"/>
      <c r="U14" s="167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20" t="s">
        <v>1978</v>
      </c>
      <c r="T15" s="1721"/>
      <c r="U15" s="172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9" t="s">
        <v>1000</v>
      </c>
      <c r="T16" s="1670"/>
      <c r="U16" s="167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9" t="s">
        <v>1002</v>
      </c>
      <c r="T17" s="1670"/>
      <c r="U17" s="167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9" t="s">
        <v>1004</v>
      </c>
      <c r="T18" s="1670"/>
      <c r="U18" s="167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9" t="s">
        <v>1006</v>
      </c>
      <c r="T19" s="1670"/>
      <c r="U19" s="167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9" t="s">
        <v>1008</v>
      </c>
      <c r="T20" s="1670"/>
      <c r="U20" s="167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9" t="s">
        <v>1010</v>
      </c>
      <c r="T21" s="1670"/>
      <c r="U21" s="167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9" t="s">
        <v>1980</v>
      </c>
      <c r="T22" s="1700"/>
      <c r="U22" s="1701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4" t="s">
        <v>1013</v>
      </c>
      <c r="T23" s="1685"/>
      <c r="U23" s="168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8" t="s">
        <v>1016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9" t="s">
        <v>1018</v>
      </c>
      <c r="T26" s="1670"/>
      <c r="U26" s="167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9" t="s">
        <v>1020</v>
      </c>
      <c r="T27" s="1700"/>
      <c r="U27" s="1701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4" t="s">
        <v>1022</v>
      </c>
      <c r="T28" s="1685"/>
      <c r="U28" s="168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4" t="s">
        <v>1029</v>
      </c>
      <c r="T35" s="1685"/>
      <c r="U35" s="168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11" t="s">
        <v>1031</v>
      </c>
      <c r="T36" s="1712"/>
      <c r="U36" s="171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5" t="s">
        <v>1033</v>
      </c>
      <c r="T37" s="1706"/>
      <c r="U37" s="1707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8" t="s">
        <v>1035</v>
      </c>
      <c r="T38" s="1709"/>
      <c r="U38" s="1710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4" t="s">
        <v>1037</v>
      </c>
      <c r="T40" s="1685"/>
      <c r="U40" s="168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8" t="s">
        <v>1040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9" t="s">
        <v>1042</v>
      </c>
      <c r="T43" s="1670"/>
      <c r="U43" s="167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9" t="s">
        <v>1043</v>
      </c>
      <c r="T44" s="1670"/>
      <c r="U44" s="167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9" t="s">
        <v>1045</v>
      </c>
      <c r="T45" s="1700"/>
      <c r="U45" s="1701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4" t="s">
        <v>1047</v>
      </c>
      <c r="T46" s="1685"/>
      <c r="U46" s="168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6" t="s">
        <v>1049</v>
      </c>
      <c r="T48" s="1697"/>
      <c r="U48" s="169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16081</v>
      </c>
      <c r="K51" s="1084"/>
      <c r="L51" s="1091">
        <f>+IF($P$2=33,$Q51,0)</f>
        <v>0</v>
      </c>
      <c r="M51" s="1084"/>
      <c r="N51" s="1121">
        <f>+ROUND(+G51+J51+L51,0)</f>
        <v>16081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16081</v>
      </c>
      <c r="R51" s="1035"/>
      <c r="S51" s="1678" t="s">
        <v>1053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276</v>
      </c>
      <c r="K52" s="1084"/>
      <c r="L52" s="1109">
        <f>+IF($P$2=33,$Q52,0)</f>
        <v>0</v>
      </c>
      <c r="M52" s="1084"/>
      <c r="N52" s="1110">
        <f>+ROUND(+G52+J52+L52,0)</f>
        <v>276</v>
      </c>
      <c r="O52" s="1086"/>
      <c r="P52" s="1108">
        <f>+ROUND(+SUM(OTCHET!E217:E219),0)</f>
        <v>0</v>
      </c>
      <c r="Q52" s="1109">
        <f>+ROUND(+SUM(OTCHET!L217:L219),0)</f>
        <v>276</v>
      </c>
      <c r="R52" s="1035"/>
      <c r="S52" s="1669" t="s">
        <v>1055</v>
      </c>
      <c r="T52" s="1670"/>
      <c r="U52" s="167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9" t="s">
        <v>1057</v>
      </c>
      <c r="T53" s="1670"/>
      <c r="U53" s="167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60294</v>
      </c>
      <c r="K54" s="1084"/>
      <c r="L54" s="1109">
        <f>+IF($P$2=33,$Q54,0)</f>
        <v>0</v>
      </c>
      <c r="M54" s="1084"/>
      <c r="N54" s="1110">
        <f>+ROUND(+G54+J54+L54,0)</f>
        <v>60294</v>
      </c>
      <c r="O54" s="1086"/>
      <c r="P54" s="1108">
        <f>+ROUND(OTCHET!E187+OTCHET!E190,0)</f>
        <v>0</v>
      </c>
      <c r="Q54" s="1109">
        <f>+ROUND(OTCHET!L187+OTCHET!L190,0)</f>
        <v>60294</v>
      </c>
      <c r="R54" s="1035"/>
      <c r="S54" s="1669" t="s">
        <v>1059</v>
      </c>
      <c r="T54" s="1670"/>
      <c r="U54" s="167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11787</v>
      </c>
      <c r="K55" s="1084"/>
      <c r="L55" s="1109">
        <f>+IF($P$2=33,$Q55,0)</f>
        <v>0</v>
      </c>
      <c r="M55" s="1084"/>
      <c r="N55" s="1110">
        <f>+ROUND(+G55+J55+L55,0)</f>
        <v>11787</v>
      </c>
      <c r="O55" s="1086"/>
      <c r="P55" s="1108">
        <f>+ROUND(OTCHET!E196+OTCHET!E204,0)</f>
        <v>0</v>
      </c>
      <c r="Q55" s="1109">
        <f>+ROUND(OTCHET!L196+OTCHET!L204,0)</f>
        <v>11787</v>
      </c>
      <c r="R55" s="1035"/>
      <c r="S55" s="1699" t="s">
        <v>1061</v>
      </c>
      <c r="T55" s="1700"/>
      <c r="U55" s="1701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88438</v>
      </c>
      <c r="K56" s="1084"/>
      <c r="L56" s="1197">
        <f>+ROUND(+SUM(L51:L55),0)</f>
        <v>0</v>
      </c>
      <c r="M56" s="1084"/>
      <c r="N56" s="1198">
        <f>+ROUND(+SUM(N51:N55),0)</f>
        <v>88438</v>
      </c>
      <c r="O56" s="1086"/>
      <c r="P56" s="1196">
        <f>+ROUND(+SUM(P51:P55),0)</f>
        <v>0</v>
      </c>
      <c r="Q56" s="1197">
        <f>+ROUND(+SUM(Q51:Q55),0)</f>
        <v>88438</v>
      </c>
      <c r="R56" s="1035"/>
      <c r="S56" s="1684" t="s">
        <v>1063</v>
      </c>
      <c r="T56" s="1685"/>
      <c r="U56" s="168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1066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352547</v>
      </c>
      <c r="K59" s="1084"/>
      <c r="L59" s="1109">
        <f>+IF($P$2=33,$Q59,0)</f>
        <v>0</v>
      </c>
      <c r="M59" s="1084"/>
      <c r="N59" s="1110">
        <f>+ROUND(+G59+J59+L59,0)</f>
        <v>352547</v>
      </c>
      <c r="O59" s="1086"/>
      <c r="P59" s="1108">
        <f>+ROUND(+OTCHET!E275+OTCHET!E276,0)</f>
        <v>0</v>
      </c>
      <c r="Q59" s="1109">
        <f>+ROUND(+OTCHET!L275+OTCHET!L276,0)</f>
        <v>352547</v>
      </c>
      <c r="R59" s="1035"/>
      <c r="S59" s="1669" t="s">
        <v>1068</v>
      </c>
      <c r="T59" s="1670"/>
      <c r="U59" s="167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9" t="s">
        <v>1070</v>
      </c>
      <c r="T60" s="1670"/>
      <c r="U60" s="167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9" t="s">
        <v>1072</v>
      </c>
      <c r="T61" s="1700"/>
      <c r="U61" s="1701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352547</v>
      </c>
      <c r="K63" s="1084"/>
      <c r="L63" s="1197">
        <f>+ROUND(+SUM(L58:L61),0)</f>
        <v>0</v>
      </c>
      <c r="M63" s="1084"/>
      <c r="N63" s="1198">
        <f>+ROUND(+SUM(N58:N61),0)</f>
        <v>352547</v>
      </c>
      <c r="O63" s="1086"/>
      <c r="P63" s="1196">
        <f>+ROUND(+SUM(P58:P61),0)</f>
        <v>0</v>
      </c>
      <c r="Q63" s="1197">
        <f>+ROUND(+SUM(Q58:Q61),0)</f>
        <v>352547</v>
      </c>
      <c r="R63" s="1035"/>
      <c r="S63" s="1684" t="s">
        <v>1076</v>
      </c>
      <c r="T63" s="1685"/>
      <c r="U63" s="168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1079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9" t="s">
        <v>1081</v>
      </c>
      <c r="T66" s="1670"/>
      <c r="U66" s="167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4" t="s">
        <v>1083</v>
      </c>
      <c r="T67" s="1685"/>
      <c r="U67" s="168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1086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9" t="s">
        <v>1088</v>
      </c>
      <c r="T70" s="1670"/>
      <c r="U70" s="167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4" t="s">
        <v>1090</v>
      </c>
      <c r="T71" s="1685"/>
      <c r="U71" s="168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36924</v>
      </c>
      <c r="K73" s="1084"/>
      <c r="L73" s="1091">
        <f>+IF($P$2=33,$Q73,0)</f>
        <v>0</v>
      </c>
      <c r="M73" s="1084"/>
      <c r="N73" s="1121">
        <f>+ROUND(+G73+J73+L73,0)</f>
        <v>36924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36924</v>
      </c>
      <c r="R73" s="1035"/>
      <c r="S73" s="1678" t="s">
        <v>1093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9" t="s">
        <v>1095</v>
      </c>
      <c r="T74" s="1670"/>
      <c r="U74" s="167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36924</v>
      </c>
      <c r="K75" s="1084"/>
      <c r="L75" s="1197">
        <f>+ROUND(+SUM(L73:L74),0)</f>
        <v>0</v>
      </c>
      <c r="M75" s="1084"/>
      <c r="N75" s="1198">
        <f>+ROUND(+SUM(N73:N74),0)</f>
        <v>36924</v>
      </c>
      <c r="O75" s="1086"/>
      <c r="P75" s="1196">
        <f>+ROUND(+SUM(P73:P74),0)</f>
        <v>0</v>
      </c>
      <c r="Q75" s="1197">
        <f>+ROUND(+SUM(Q73:Q74),0)</f>
        <v>36924</v>
      </c>
      <c r="R75" s="1035"/>
      <c r="S75" s="1684" t="s">
        <v>1097</v>
      </c>
      <c r="T75" s="1685"/>
      <c r="U75" s="168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477909</v>
      </c>
      <c r="K77" s="1084"/>
      <c r="L77" s="1222">
        <f>+ROUND(L56+L63+L67+L71+L75,0)</f>
        <v>0</v>
      </c>
      <c r="M77" s="1084"/>
      <c r="N77" s="1223">
        <f>+ROUND(N56+N63+N67+N71+N75,0)</f>
        <v>477909</v>
      </c>
      <c r="O77" s="1086"/>
      <c r="P77" s="1220">
        <f>+ROUND(P56+P63+P67+P71+P75,0)</f>
        <v>0</v>
      </c>
      <c r="Q77" s="1221">
        <f>+ROUND(Q56+Q63+Q67+Q71+Q75,0)</f>
        <v>477909</v>
      </c>
      <c r="R77" s="1035"/>
      <c r="S77" s="1687" t="s">
        <v>1099</v>
      </c>
      <c r="T77" s="1688"/>
      <c r="U77" s="1689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78" t="s">
        <v>1102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-38257</v>
      </c>
      <c r="K80" s="1084"/>
      <c r="L80" s="1109">
        <f>+IF($P$2=33,$Q80,0)</f>
        <v>0</v>
      </c>
      <c r="M80" s="1084"/>
      <c r="N80" s="1110">
        <f>+ROUND(+G80+J80+L80,0)</f>
        <v>-38257</v>
      </c>
      <c r="O80" s="1086"/>
      <c r="P80" s="1108">
        <f>+ROUND(OTCHET!E429,0)</f>
        <v>0</v>
      </c>
      <c r="Q80" s="1109">
        <f>+ROUND(OTCHET!L429,0)</f>
        <v>-38257</v>
      </c>
      <c r="R80" s="1035"/>
      <c r="S80" s="1669" t="s">
        <v>1104</v>
      </c>
      <c r="T80" s="1670"/>
      <c r="U80" s="167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589833</v>
      </c>
      <c r="K81" s="1084"/>
      <c r="L81" s="1231">
        <f>+ROUND(L79+L80,0)</f>
        <v>0</v>
      </c>
      <c r="M81" s="1084"/>
      <c r="N81" s="1232">
        <f>+ROUND(N79+N80,0)</f>
        <v>589833</v>
      </c>
      <c r="O81" s="1086"/>
      <c r="P81" s="1230">
        <f>+ROUND(P79+P80,0)</f>
        <v>0</v>
      </c>
      <c r="Q81" s="1231">
        <f>+ROUND(Q79+Q80,0)</f>
        <v>589833</v>
      </c>
      <c r="R81" s="1035"/>
      <c r="S81" s="1675" t="s">
        <v>1106</v>
      </c>
      <c r="T81" s="1676"/>
      <c r="U81" s="1677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2">
        <f>+IF(+SUM(F82:N82)=0,0,"Контрола: дефицит/излишък = финансиране с обратен знак (Г. + Д. = 0)")</f>
        <v>0</v>
      </c>
      <c r="C82" s="1703"/>
      <c r="D82" s="170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111924</v>
      </c>
      <c r="K83" s="1084"/>
      <c r="L83" s="1244">
        <f>+ROUND(L48,0)-ROUND(L77,0)+ROUND(L81,0)</f>
        <v>0</v>
      </c>
      <c r="M83" s="1084"/>
      <c r="N83" s="1245">
        <f>+ROUND(N48,0)-ROUND(N77,0)+ROUND(N81,0)</f>
        <v>111924</v>
      </c>
      <c r="O83" s="1246"/>
      <c r="P83" s="1243">
        <f>+ROUND(P48,0)-ROUND(P77,0)+ROUND(P81,0)</f>
        <v>0</v>
      </c>
      <c r="Q83" s="1244">
        <f>+ROUND(Q48,0)-ROUND(Q77,0)+ROUND(Q81,0)</f>
        <v>111924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-111924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-111924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-111924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1112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9" t="s">
        <v>1114</v>
      </c>
      <c r="T88" s="1670"/>
      <c r="U88" s="167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4" t="s">
        <v>1116</v>
      </c>
      <c r="T89" s="1685"/>
      <c r="U89" s="168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1119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9" t="s">
        <v>1121</v>
      </c>
      <c r="T92" s="1670"/>
      <c r="U92" s="167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9" t="s">
        <v>1123</v>
      </c>
      <c r="T93" s="1670"/>
      <c r="U93" s="167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9" t="s">
        <v>1125</v>
      </c>
      <c r="T94" s="1700"/>
      <c r="U94" s="1701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4" t="s">
        <v>1127</v>
      </c>
      <c r="T95" s="1685"/>
      <c r="U95" s="168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1130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9" t="s">
        <v>1132</v>
      </c>
      <c r="T98" s="1670"/>
      <c r="U98" s="167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4" t="s">
        <v>1134</v>
      </c>
      <c r="T99" s="1685"/>
      <c r="U99" s="168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6" t="s">
        <v>1136</v>
      </c>
      <c r="T101" s="1697"/>
      <c r="U101" s="169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1140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9" t="s">
        <v>1142</v>
      </c>
      <c r="T105" s="1670"/>
      <c r="U105" s="167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4" t="s">
        <v>1144</v>
      </c>
      <c r="T106" s="1685"/>
      <c r="U106" s="168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0" t="s">
        <v>1147</v>
      </c>
      <c r="T108" s="1691"/>
      <c r="U108" s="169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3" t="s">
        <v>1149</v>
      </c>
      <c r="T109" s="1694"/>
      <c r="U109" s="169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4" t="s">
        <v>1151</v>
      </c>
      <c r="T110" s="1685"/>
      <c r="U110" s="168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1154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9" t="s">
        <v>1156</v>
      </c>
      <c r="T113" s="1670"/>
      <c r="U113" s="167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4" t="s">
        <v>1158</v>
      </c>
      <c r="T114" s="1685"/>
      <c r="U114" s="168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8" t="s">
        <v>1161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9" t="s">
        <v>1163</v>
      </c>
      <c r="T117" s="1670"/>
      <c r="U117" s="167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4" t="s">
        <v>1165</v>
      </c>
      <c r="T118" s="1685"/>
      <c r="U118" s="168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7" t="s">
        <v>1167</v>
      </c>
      <c r="T120" s="1688"/>
      <c r="U120" s="1689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1170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-111924</v>
      </c>
      <c r="K123" s="1084"/>
      <c r="L123" s="1109">
        <f>+IF($P$2=33,$Q123,0)</f>
        <v>0</v>
      </c>
      <c r="M123" s="1084"/>
      <c r="N123" s="1110">
        <f>+ROUND(+G123+J123+L123,0)</f>
        <v>-111924</v>
      </c>
      <c r="O123" s="1086"/>
      <c r="P123" s="1108">
        <f>+ROUND(OTCHET!E524,0)</f>
        <v>0</v>
      </c>
      <c r="Q123" s="1109">
        <f>+ROUND(OTCHET!L524,0)</f>
        <v>-111924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9" t="s">
        <v>1174</v>
      </c>
      <c r="T124" s="1670"/>
      <c r="U124" s="167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2" t="s">
        <v>1176</v>
      </c>
      <c r="T126" s="1673"/>
      <c r="U126" s="1674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-111924</v>
      </c>
      <c r="K127" s="1084"/>
      <c r="L127" s="1231">
        <f>+ROUND(+SUM(L122:L126),0)</f>
        <v>0</v>
      </c>
      <c r="M127" s="1084"/>
      <c r="N127" s="1232">
        <f>+ROUND(+SUM(N122:N126),0)</f>
        <v>-111924</v>
      </c>
      <c r="O127" s="1086"/>
      <c r="P127" s="1230">
        <f>+ROUND(+SUM(P122:P126),0)</f>
        <v>0</v>
      </c>
      <c r="Q127" s="1231">
        <f>+ROUND(+SUM(Q122:Q126),0)</f>
        <v>-111924</v>
      </c>
      <c r="R127" s="1035"/>
      <c r="S127" s="1675" t="s">
        <v>1178</v>
      </c>
      <c r="T127" s="1676"/>
      <c r="U127" s="1677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8" t="s">
        <v>1181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9" t="s">
        <v>1183</v>
      </c>
      <c r="T130" s="1670"/>
      <c r="U130" s="167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1" t="s">
        <v>1185</v>
      </c>
      <c r="T131" s="1682"/>
      <c r="U131" s="168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3" t="s">
        <v>1187</v>
      </c>
      <c r="T132" s="1664"/>
      <c r="U132" s="166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6">
        <f>+IF(+SUM(F133:N133)=0,0,"Контрола: дефицит/излишък = финансиране с обратен знак (Г. + Д. = 0)")</f>
        <v>0</v>
      </c>
      <c r="C133" s="1666"/>
      <c r="D133" s="166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45132</v>
      </c>
      <c r="D134" s="1236" t="s">
        <v>1189</v>
      </c>
      <c r="E134" s="1008"/>
      <c r="F134" s="1667"/>
      <c r="G134" s="1667"/>
      <c r="H134" s="1008"/>
      <c r="I134" s="1293" t="s">
        <v>1190</v>
      </c>
      <c r="J134" s="1294"/>
      <c r="K134" s="1008"/>
      <c r="L134" s="1667"/>
      <c r="M134" s="1667"/>
      <c r="N134" s="1667"/>
      <c r="O134" s="1288"/>
      <c r="P134" s="1668"/>
      <c r="Q134" s="166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56" sqref="E56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5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6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6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7" t="str">
        <f>CONCATENATE("Годишен         уточнен план                           ",OTCHET!$C$3," г.")</f>
        <v>Годишен         уточнен план                           2023 г.</v>
      </c>
      <c r="F17" s="1739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8"/>
      <c r="F18" s="1740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477909</v>
      </c>
      <c r="G38" s="837">
        <f>G39+G43+G44+G46+SUM(G48:G52)+G55</f>
        <v>477909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72081</v>
      </c>
      <c r="G39" s="800">
        <f>SUM(G40:G42)</f>
        <v>72081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13129</v>
      </c>
      <c r="G40" s="863">
        <f>OTCHET!I187</f>
        <v>13129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47165</v>
      </c>
      <c r="G41" s="1624">
        <f>OTCHET!I190</f>
        <v>47165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11787</v>
      </c>
      <c r="G42" s="1624">
        <f>+OTCHET!I196+OTCHET!I204</f>
        <v>11787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16357</v>
      </c>
      <c r="G43" s="805">
        <f>+OTCHET!I205+OTCHET!I223+OTCHET!I271</f>
        <v>16357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36924</v>
      </c>
      <c r="G48" s="805">
        <f>+OTCHET!I265+OTCHET!I269+OTCHET!I270</f>
        <v>36924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352547</v>
      </c>
      <c r="G49" s="805">
        <f>OTCHET!I275+OTCHET!I276+OTCHET!I284+OTCHET!I287</f>
        <v>352547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589833</v>
      </c>
      <c r="G56" s="882">
        <f>+G57+G58+G62</f>
        <v>628090</v>
      </c>
      <c r="H56" s="883">
        <f>+H57+H58+H62</f>
        <v>-38257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589833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-38257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-38257</v>
      </c>
      <c r="G59" s="895">
        <f>+OTCHET!I422+OTCHET!I423+OTCHET!I424+OTCHET!I425+OTCHET!I426</f>
        <v>0</v>
      </c>
      <c r="H59" s="896">
        <f>+OTCHET!J422+OTCHET!J423+OTCHET!J424+OTCHET!J425+OTCHET!J426</f>
        <v>-38257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111924</v>
      </c>
      <c r="G64" s="917">
        <f>+G22-G38+G56-G63</f>
        <v>150181</v>
      </c>
      <c r="H64" s="918">
        <f>+H22-H38+H56-H63</f>
        <v>-38257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38257</v>
      </c>
      <c r="H65" s="923">
        <f>+H$64+H$66</f>
        <v>-38257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-111924</v>
      </c>
      <c r="G66" s="927">
        <f>SUM(+G68+G76+G77+G84+G85+G86+G89+G90+G91+G92+G93+G94+G95)</f>
        <v>-111924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-111924</v>
      </c>
      <c r="G86" s="895">
        <f>+G87+G88</f>
        <v>-111924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-111924</v>
      </c>
      <c r="G88" s="953">
        <f>+OTCHET!I521+OTCHET!I524+OTCHET!I544</f>
        <v>-111924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38257</v>
      </c>
      <c r="H105" s="974">
        <f>+H$64+H$66</f>
        <v>-38257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1" t="s">
        <v>972</v>
      </c>
      <c r="H108" s="1741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2" t="str">
        <f>+OTCHET!D603</f>
        <v>Ирина Азманова</v>
      </c>
      <c r="F110" s="1742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2" t="str">
        <f>+OTCHET!G600</f>
        <v>Диана Димитрова</v>
      </c>
      <c r="F114" s="1742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1851</v>
      </c>
      <c r="C9" s="1829"/>
      <c r="D9" s="1830"/>
      <c r="E9" s="115">
        <f>DATE($C$3,1,1)</f>
        <v>44927</v>
      </c>
      <c r="F9" s="116">
        <v>45107</v>
      </c>
      <c r="G9" s="113"/>
      <c r="H9" s="1404"/>
      <c r="I9" s="1783"/>
      <c r="J9" s="1784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85" t="s">
        <v>954</v>
      </c>
      <c r="J10" s="178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6"/>
      <c r="J11" s="1786"/>
      <c r="K11" s="113"/>
      <c r="L11" s="113"/>
      <c r="M11" s="7">
        <v>1</v>
      </c>
      <c r="N11" s="108"/>
    </row>
    <row r="12" spans="2:14" ht="27" customHeight="1">
      <c r="B12" s="1810" t="str">
        <f>VLOOKUP(F12,PRBK,2,FALSE)</f>
        <v>Твърдица</v>
      </c>
      <c r="C12" s="1811"/>
      <c r="D12" s="1812"/>
      <c r="E12" s="118" t="s">
        <v>948</v>
      </c>
      <c r="F12" s="1571" t="s">
        <v>1531</v>
      </c>
      <c r="G12" s="113"/>
      <c r="H12" s="114"/>
      <c r="I12" s="1786"/>
      <c r="J12" s="1786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51" t="str">
        <f>CONCATENATE("Уточнен план ",$C$3," - ПРИХОДИ")</f>
        <v>Уточнен план 2023 - ПРИХОДИ</v>
      </c>
      <c r="F19" s="1752"/>
      <c r="G19" s="1752"/>
      <c r="H19" s="1753"/>
      <c r="I19" s="1834" t="str">
        <f>CONCATENATE("Отчет ",$C$3," - ПРИХОДИ")</f>
        <v>Отчет 2023 - ПРИХОДИ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462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464</v>
      </c>
      <c r="D28" s="182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5" t="str">
        <f>$B$9</f>
        <v>Твърдица</v>
      </c>
      <c r="C176" s="1746"/>
      <c r="D176" s="1747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0" t="str">
        <f>$B$12</f>
        <v>Твърдица</v>
      </c>
      <c r="C179" s="1811"/>
      <c r="D179" s="1812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51" t="str">
        <f>CONCATENATE("Уточнен план ",$C$3," - РАЗХОДИ - рекапитулация")</f>
        <v>Уточнен план 2023 - РАЗХОДИ - рекапитулация</v>
      </c>
      <c r="F183" s="1752"/>
      <c r="G183" s="1752"/>
      <c r="H183" s="1753"/>
      <c r="I183" s="1754" t="str">
        <f>CONCATENATE("Отчет ",$C$3," - РАЗХОДИ - рекапитулация")</f>
        <v>Отчет 2023 - РАЗХОДИ - рекапитулация</v>
      </c>
      <c r="J183" s="1755"/>
      <c r="K183" s="1755"/>
      <c r="L183" s="175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9" t="s">
        <v>730</v>
      </c>
      <c r="D187" s="176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13129</v>
      </c>
      <c r="J187" s="275">
        <f t="shared" si="41"/>
        <v>0</v>
      </c>
      <c r="K187" s="276">
        <f t="shared" si="41"/>
        <v>0</v>
      </c>
      <c r="L187" s="273">
        <f t="shared" si="41"/>
        <v>13129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13129</v>
      </c>
      <c r="J188" s="283">
        <f t="shared" si="43"/>
        <v>0</v>
      </c>
      <c r="K188" s="284">
        <f t="shared" si="43"/>
        <v>0</v>
      </c>
      <c r="L188" s="281">
        <f t="shared" si="43"/>
        <v>13129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1" t="s">
        <v>733</v>
      </c>
      <c r="D190" s="176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47165</v>
      </c>
      <c r="J190" s="275">
        <f t="shared" si="44"/>
        <v>0</v>
      </c>
      <c r="K190" s="276">
        <f t="shared" si="44"/>
        <v>0</v>
      </c>
      <c r="L190" s="273">
        <f t="shared" si="44"/>
        <v>47165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43733</v>
      </c>
      <c r="J191" s="283">
        <f t="shared" si="45"/>
        <v>0</v>
      </c>
      <c r="K191" s="284">
        <f t="shared" si="45"/>
        <v>0</v>
      </c>
      <c r="L191" s="281">
        <f t="shared" si="45"/>
        <v>43733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3432</v>
      </c>
      <c r="J192" s="297">
        <f t="shared" si="45"/>
        <v>0</v>
      </c>
      <c r="K192" s="298">
        <f t="shared" si="45"/>
        <v>0</v>
      </c>
      <c r="L192" s="295">
        <f t="shared" si="45"/>
        <v>3432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3" t="s">
        <v>189</v>
      </c>
      <c r="D196" s="176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11787</v>
      </c>
      <c r="J196" s="275">
        <f t="shared" si="46"/>
        <v>0</v>
      </c>
      <c r="K196" s="276">
        <f t="shared" si="46"/>
        <v>0</v>
      </c>
      <c r="L196" s="273">
        <f t="shared" si="46"/>
        <v>11787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6704</v>
      </c>
      <c r="J197" s="283">
        <f t="shared" si="47"/>
        <v>0</v>
      </c>
      <c r="K197" s="284">
        <f t="shared" si="47"/>
        <v>0</v>
      </c>
      <c r="L197" s="281">
        <f t="shared" si="47"/>
        <v>6704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477</v>
      </c>
      <c r="J198" s="297">
        <f t="shared" si="47"/>
        <v>0</v>
      </c>
      <c r="K198" s="298">
        <f t="shared" si="47"/>
        <v>0</v>
      </c>
      <c r="L198" s="295">
        <f t="shared" si="47"/>
        <v>477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2942</v>
      </c>
      <c r="J200" s="297">
        <f t="shared" si="47"/>
        <v>0</v>
      </c>
      <c r="K200" s="298">
        <f t="shared" si="47"/>
        <v>0</v>
      </c>
      <c r="L200" s="295">
        <f t="shared" si="47"/>
        <v>2942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1664</v>
      </c>
      <c r="J201" s="297">
        <f t="shared" si="47"/>
        <v>0</v>
      </c>
      <c r="K201" s="298">
        <f t="shared" si="47"/>
        <v>0</v>
      </c>
      <c r="L201" s="295">
        <f t="shared" si="47"/>
        <v>1664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5" t="s">
        <v>194</v>
      </c>
      <c r="D204" s="176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1" t="s">
        <v>195</v>
      </c>
      <c r="D205" s="176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16357</v>
      </c>
      <c r="J205" s="275">
        <f t="shared" si="48"/>
        <v>0</v>
      </c>
      <c r="K205" s="276">
        <f t="shared" si="48"/>
        <v>0</v>
      </c>
      <c r="L205" s="310">
        <f t="shared" si="48"/>
        <v>16357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3268</v>
      </c>
      <c r="J209" s="297">
        <f t="shared" si="49"/>
        <v>0</v>
      </c>
      <c r="K209" s="298">
        <f t="shared" si="49"/>
        <v>0</v>
      </c>
      <c r="L209" s="295">
        <f t="shared" si="49"/>
        <v>3268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4839</v>
      </c>
      <c r="J210" s="297">
        <f t="shared" si="49"/>
        <v>0</v>
      </c>
      <c r="K210" s="298">
        <f t="shared" si="49"/>
        <v>0</v>
      </c>
      <c r="L210" s="295">
        <f t="shared" si="49"/>
        <v>4839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740</v>
      </c>
      <c r="J211" s="316">
        <f t="shared" si="49"/>
        <v>0</v>
      </c>
      <c r="K211" s="317">
        <f t="shared" si="49"/>
        <v>0</v>
      </c>
      <c r="L211" s="314">
        <f t="shared" si="49"/>
        <v>740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7040</v>
      </c>
      <c r="J212" s="322">
        <f t="shared" si="49"/>
        <v>0</v>
      </c>
      <c r="K212" s="323">
        <f t="shared" si="49"/>
        <v>0</v>
      </c>
      <c r="L212" s="320">
        <f t="shared" si="49"/>
        <v>7040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276</v>
      </c>
      <c r="J217" s="322">
        <f t="shared" si="50"/>
        <v>0</v>
      </c>
      <c r="K217" s="323">
        <f t="shared" si="50"/>
        <v>0</v>
      </c>
      <c r="L217" s="320">
        <f t="shared" si="50"/>
        <v>276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7" t="s">
        <v>266</v>
      </c>
      <c r="D223" s="176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7" t="s">
        <v>708</v>
      </c>
      <c r="D227" s="176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7" t="s">
        <v>214</v>
      </c>
      <c r="D233" s="176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7" t="s">
        <v>216</v>
      </c>
      <c r="D236" s="176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217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218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1643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7" t="s">
        <v>219</v>
      </c>
      <c r="D240" s="176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7" t="s">
        <v>228</v>
      </c>
      <c r="D255" s="176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7" t="s">
        <v>229</v>
      </c>
      <c r="D256" s="176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7" t="s">
        <v>230</v>
      </c>
      <c r="D257" s="176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7" t="s">
        <v>231</v>
      </c>
      <c r="D258" s="176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7" t="s">
        <v>1648</v>
      </c>
      <c r="D265" s="176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7" t="s">
        <v>1645</v>
      </c>
      <c r="D269" s="176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7" t="s">
        <v>1646</v>
      </c>
      <c r="D270" s="176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241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7" t="s">
        <v>267</v>
      </c>
      <c r="D272" s="176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1" t="s">
        <v>242</v>
      </c>
      <c r="D275" s="177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352547</v>
      </c>
      <c r="J275" s="275">
        <f t="shared" si="68"/>
        <v>0</v>
      </c>
      <c r="K275" s="276">
        <f t="shared" si="68"/>
        <v>0</v>
      </c>
      <c r="L275" s="310">
        <f t="shared" si="68"/>
        <v>352547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1" t="s">
        <v>243</v>
      </c>
      <c r="D276" s="177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1" t="s">
        <v>614</v>
      </c>
      <c r="D284" s="177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1" t="s">
        <v>672</v>
      </c>
      <c r="D287" s="177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7" t="s">
        <v>673</v>
      </c>
      <c r="D288" s="176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3" t="s">
        <v>900</v>
      </c>
      <c r="D293" s="177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69" t="s">
        <v>681</v>
      </c>
      <c r="D297" s="177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477909</v>
      </c>
      <c r="J301" s="397">
        <f t="shared" si="77"/>
        <v>0</v>
      </c>
      <c r="K301" s="398">
        <f t="shared" si="77"/>
        <v>0</v>
      </c>
      <c r="L301" s="395">
        <f t="shared" si="77"/>
        <v>477909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1"/>
      <c r="C306" s="1816"/>
      <c r="D306" s="181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5"/>
      <c r="C308" s="1816"/>
      <c r="D308" s="181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5"/>
      <c r="C311" s="1816"/>
      <c r="D311" s="181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7"/>
      <c r="C344" s="1817"/>
      <c r="D344" s="181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0" t="str">
        <f>$B$7</f>
        <v>ОТЧЕТНИ ДАННИ ПО ЕБК ЗА СМЕТКИТЕ ЗА СРЕДСТВАТА ОТ ЕВРОПЕЙСКИЯ СЪЮЗ - ДМП</v>
      </c>
      <c r="C348" s="1820"/>
      <c r="D348" s="182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5" t="str">
        <f>$B$9</f>
        <v>Твърдица</v>
      </c>
      <c r="C350" s="1746"/>
      <c r="D350" s="1747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0" t="str">
        <f>$B$12</f>
        <v>Твърдица</v>
      </c>
      <c r="C353" s="1811"/>
      <c r="D353" s="1812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7" t="str">
        <f>CONCATENATE("Уточнен план ",$C$3," - ТРАНСФЕРИ и ВРЕМ. БЕЗЛ. ЗАЕМИ")</f>
        <v>Уточнен план 2023 - ТРАНСФЕРИ и ВРЕМ. БЕЗЛ. ЗАЕМИ</v>
      </c>
      <c r="F357" s="1838"/>
      <c r="G357" s="1838"/>
      <c r="H357" s="1839"/>
      <c r="I357" s="1840" t="str">
        <f>CONCATENATE("Отчет ",$C$3," - ТРАНСФЕРИ и ВРЕМ. БЕЗЛ. ЗАЕМИ")</f>
        <v>Отчет 2023 - ТРАНСФЕРИ и ВРЕМ. БЕЗЛ. ЗАЕМИ</v>
      </c>
      <c r="J357" s="1841"/>
      <c r="K357" s="1841"/>
      <c r="L357" s="1842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8" t="s">
        <v>270</v>
      </c>
      <c r="D361" s="181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7" t="s">
        <v>281</v>
      </c>
      <c r="D375" s="178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7" t="s">
        <v>303</v>
      </c>
      <c r="D383" s="178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7" t="s">
        <v>247</v>
      </c>
      <c r="D388" s="178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7" t="s">
        <v>248</v>
      </c>
      <c r="D391" s="1788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1"/>
      <c r="G395" s="1662"/>
      <c r="H395" s="175">
        <v>0</v>
      </c>
      <c r="I395" s="1661"/>
      <c r="J395" s="1662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7" t="s">
        <v>250</v>
      </c>
      <c r="D396" s="178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7" t="s">
        <v>251</v>
      </c>
      <c r="D399" s="1788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2"/>
      <c r="G400" s="1602"/>
      <c r="H400" s="154">
        <v>0</v>
      </c>
      <c r="I400" s="152">
        <v>628090</v>
      </c>
      <c r="J400" s="1602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7" t="s">
        <v>907</v>
      </c>
      <c r="D402" s="178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7" t="s">
        <v>667</v>
      </c>
      <c r="D405" s="1788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7" t="s">
        <v>668</v>
      </c>
      <c r="D406" s="178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7" t="s">
        <v>686</v>
      </c>
      <c r="D409" s="178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7" t="s">
        <v>254</v>
      </c>
      <c r="D412" s="178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7" t="s">
        <v>753</v>
      </c>
      <c r="D422" s="1788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7" t="s">
        <v>691</v>
      </c>
      <c r="D423" s="1788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7" t="s">
        <v>255</v>
      </c>
      <c r="D424" s="1788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-38257</v>
      </c>
      <c r="K424" s="1463">
        <v>0</v>
      </c>
      <c r="L424" s="1367">
        <f>I424+J424+K424</f>
        <v>-38257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87" t="s">
        <v>670</v>
      </c>
      <c r="D425" s="1788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7" t="s">
        <v>911</v>
      </c>
      <c r="D426" s="178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-38257</v>
      </c>
      <c r="K429" s="511">
        <f t="shared" si="97"/>
        <v>0</v>
      </c>
      <c r="L429" s="508">
        <f t="shared" si="97"/>
        <v>-38257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ДМП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5" t="str">
        <f>$B$9</f>
        <v>Твърдица</v>
      </c>
      <c r="C435" s="1746"/>
      <c r="D435" s="1747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10" t="str">
        <f>$B$12</f>
        <v>Твърдица</v>
      </c>
      <c r="C438" s="1811"/>
      <c r="D438" s="1812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1" t="str">
        <f>CONCATENATE("Уточнен план ",$C$3," - БЮДЖЕТНО САЛДО")</f>
        <v>Уточнен план 2023 - БЮДЖЕТНО САЛДО</v>
      </c>
      <c r="F442" s="1752"/>
      <c r="G442" s="1752"/>
      <c r="H442" s="1753"/>
      <c r="I442" s="1843" t="str">
        <f>CONCATENATE("Отчет ",$C$3," - БЮДЖЕТНО САЛДО")</f>
        <v>Отчет 2023 - БЮДЖЕТНО САЛДО</v>
      </c>
      <c r="J442" s="1844"/>
      <c r="K442" s="1844"/>
      <c r="L442" s="1845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150181</v>
      </c>
      <c r="J445" s="539">
        <f t="shared" si="99"/>
        <v>-38257</v>
      </c>
      <c r="K445" s="540">
        <f t="shared" si="99"/>
        <v>0</v>
      </c>
      <c r="L445" s="541">
        <f t="shared" si="99"/>
        <v>111924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-111924</v>
      </c>
      <c r="J446" s="546">
        <f t="shared" si="100"/>
        <v>0</v>
      </c>
      <c r="K446" s="547">
        <f t="shared" si="100"/>
        <v>0</v>
      </c>
      <c r="L446" s="548">
        <f>+L597</f>
        <v>-111924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3" t="str">
        <f>$B$7</f>
        <v>ОТЧЕТНИ ДАННИ ПО ЕБК ЗА СМЕТКИТЕ ЗА СРЕДСТВАТА ОТ ЕВРОПЕЙСКИЯ СЪЮЗ - ДМП</v>
      </c>
      <c r="C449" s="1744"/>
      <c r="D449" s="174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5" t="str">
        <f>$B$9</f>
        <v>Твърдица</v>
      </c>
      <c r="C451" s="1746"/>
      <c r="D451" s="1747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10" t="str">
        <f>$B$12</f>
        <v>Твърдица</v>
      </c>
      <c r="C454" s="1811"/>
      <c r="D454" s="1812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31" t="str">
        <f>CONCATENATE("Уточнен план ",$C$3," - ФИНАНСИРАНЕ НА БЮДЖЕТНО САЛДО")</f>
        <v>Уточнен план 2023 - ФИНАНСИРАНЕ НА БЮДЖЕТНО САЛДО</v>
      </c>
      <c r="F458" s="1832"/>
      <c r="G458" s="1832"/>
      <c r="H458" s="1833"/>
      <c r="I458" s="1846" t="str">
        <f>CONCATENATE("Отчет ",$C$3," -ФИНАНСИРАНЕ НА БЮДЖЕТНО САЛДО")</f>
        <v>Отчет 2023 -ФИНАНСИРАНЕ НА БЮДЖЕТНО САЛДО</v>
      </c>
      <c r="J458" s="1847"/>
      <c r="K458" s="1847"/>
      <c r="L458" s="1848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2" t="s">
        <v>754</v>
      </c>
      <c r="D461" s="180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7" t="s">
        <v>757</v>
      </c>
      <c r="D465" s="1797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7" t="s">
        <v>1941</v>
      </c>
      <c r="D468" s="1797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2" t="s">
        <v>760</v>
      </c>
      <c r="D471" s="180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8" t="s">
        <v>767</v>
      </c>
      <c r="D478" s="1799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00" t="s">
        <v>915</v>
      </c>
      <c r="D481" s="180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5" t="s">
        <v>920</v>
      </c>
      <c r="D497" s="180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5" t="s">
        <v>24</v>
      </c>
      <c r="D502" s="1801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4" t="s">
        <v>921</v>
      </c>
      <c r="D503" s="1804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00" t="s">
        <v>33</v>
      </c>
      <c r="D512" s="180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00" t="s">
        <v>37</v>
      </c>
      <c r="D516" s="180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00" t="s">
        <v>922</v>
      </c>
      <c r="D521" s="1806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5" t="s">
        <v>923</v>
      </c>
      <c r="D524" s="1796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-111924</v>
      </c>
      <c r="J524" s="569">
        <f t="shared" si="120"/>
        <v>0</v>
      </c>
      <c r="K524" s="570">
        <f t="shared" si="120"/>
        <v>0</v>
      </c>
      <c r="L524" s="567">
        <f t="shared" si="120"/>
        <v>-111924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-111924</v>
      </c>
      <c r="J527" s="159"/>
      <c r="K527" s="574">
        <v>0</v>
      </c>
      <c r="L527" s="1376">
        <f t="shared" si="116"/>
        <v>-111924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8" t="s">
        <v>307</v>
      </c>
      <c r="D531" s="180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00" t="s">
        <v>925</v>
      </c>
      <c r="D535" s="1800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5" t="s">
        <v>926</v>
      </c>
      <c r="D536" s="1805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7" t="s">
        <v>927</v>
      </c>
      <c r="D541" s="179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00" t="s">
        <v>928</v>
      </c>
      <c r="D544" s="180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7" t="s">
        <v>937</v>
      </c>
      <c r="D566" s="1807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7" t="s">
        <v>942</v>
      </c>
      <c r="D586" s="179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7" t="s">
        <v>819</v>
      </c>
      <c r="D591" s="179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-111924</v>
      </c>
      <c r="J597" s="653">
        <f t="shared" si="133"/>
        <v>0</v>
      </c>
      <c r="K597" s="655">
        <f t="shared" si="133"/>
        <v>0</v>
      </c>
      <c r="L597" s="651">
        <f t="shared" si="133"/>
        <v>-111924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9" t="s">
        <v>2084</v>
      </c>
      <c r="H600" s="1790"/>
      <c r="I600" s="1790"/>
      <c r="J600" s="179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7" t="s">
        <v>863</v>
      </c>
      <c r="H601" s="1777"/>
      <c r="I601" s="1777"/>
      <c r="J601" s="177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92" t="s">
        <v>2085</v>
      </c>
      <c r="H603" s="1793"/>
      <c r="I603" s="1793"/>
      <c r="J603" s="1794"/>
      <c r="K603" s="103"/>
      <c r="L603" s="228"/>
      <c r="M603" s="7">
        <v>1</v>
      </c>
      <c r="N603" s="514"/>
    </row>
    <row r="604" spans="1:14" ht="21.75" customHeight="1">
      <c r="A604" s="23"/>
      <c r="B604" s="1775" t="s">
        <v>866</v>
      </c>
      <c r="C604" s="1776"/>
      <c r="D604" s="661" t="s">
        <v>867</v>
      </c>
      <c r="E604" s="662"/>
      <c r="F604" s="663"/>
      <c r="G604" s="1777" t="s">
        <v>863</v>
      </c>
      <c r="H604" s="1777"/>
      <c r="I604" s="1777"/>
      <c r="J604" s="1777"/>
      <c r="K604" s="103"/>
      <c r="L604" s="228"/>
      <c r="M604" s="7">
        <v>1</v>
      </c>
      <c r="N604" s="514"/>
    </row>
    <row r="605" spans="1:14" ht="24.75" customHeight="1">
      <c r="A605" s="36"/>
      <c r="B605" s="1778">
        <v>45132</v>
      </c>
      <c r="C605" s="1779"/>
      <c r="D605" s="664" t="s">
        <v>868</v>
      </c>
      <c r="E605" s="665" t="s">
        <v>2086</v>
      </c>
      <c r="F605" s="666"/>
      <c r="G605" s="667" t="s">
        <v>869</v>
      </c>
      <c r="H605" s="1780"/>
      <c r="I605" s="1781"/>
      <c r="J605" s="178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80"/>
      <c r="I607" s="1781"/>
      <c r="J607" s="178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3" t="str">
        <f>$B$7</f>
        <v>ОТЧЕТНИ ДАННИ ПО ЕБК ЗА СМЕТКИТЕ ЗА СРЕДСТВАТА ОТ ЕВРОПЕЙСКИЯ СЪЮЗ - ДМП</v>
      </c>
      <c r="C621" s="1744"/>
      <c r="D621" s="1744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5" t="str">
        <f>$B$9</f>
        <v>Твърдица</v>
      </c>
      <c r="C623" s="1746"/>
      <c r="D623" s="1747"/>
      <c r="E623" s="115">
        <f>$E$9</f>
        <v>44927</v>
      </c>
      <c r="F623" s="226">
        <f>$F$9</f>
        <v>45107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8" t="str">
        <f>$B$12</f>
        <v>Твърдица</v>
      </c>
      <c r="C626" s="1749"/>
      <c r="D626" s="1750"/>
      <c r="E626" s="410" t="s">
        <v>876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51" t="str">
        <f>CONCATENATE("Уточнен план ",$C$3)</f>
        <v>Уточнен план 2023</v>
      </c>
      <c r="F630" s="1752"/>
      <c r="G630" s="1752"/>
      <c r="H630" s="1753"/>
      <c r="I630" s="1754" t="str">
        <f>CONCATENATE("Отчет ",$C$3)</f>
        <v>Отчет 2023</v>
      </c>
      <c r="J630" s="1755"/>
      <c r="K630" s="1755"/>
      <c r="L630" s="175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7" t="s">
        <v>2048</v>
      </c>
      <c r="C634" s="1447">
        <f>VLOOKUP(D635,EBK_DEIN2,2,FALSE)</f>
        <v>4469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59" t="s">
        <v>730</v>
      </c>
      <c r="D637" s="1760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13129</v>
      </c>
      <c r="J637" s="275">
        <f t="shared" si="134"/>
        <v>0</v>
      </c>
      <c r="K637" s="276">
        <f t="shared" si="134"/>
        <v>0</v>
      </c>
      <c r="L637" s="273">
        <f t="shared" si="134"/>
        <v>13129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>
        <v>0</v>
      </c>
      <c r="G638" s="153"/>
      <c r="H638" s="1407"/>
      <c r="I638" s="152">
        <v>13129</v>
      </c>
      <c r="J638" s="153"/>
      <c r="K638" s="1407"/>
      <c r="L638" s="281">
        <f>I638+J638+K638</f>
        <v>13129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1" t="s">
        <v>733</v>
      </c>
      <c r="D640" s="176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47165</v>
      </c>
      <c r="J640" s="275">
        <f t="shared" si="136"/>
        <v>0</v>
      </c>
      <c r="K640" s="276">
        <f t="shared" si="136"/>
        <v>0</v>
      </c>
      <c r="L640" s="273">
        <f t="shared" si="136"/>
        <v>47165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>
        <v>0</v>
      </c>
      <c r="G641" s="153"/>
      <c r="H641" s="1407"/>
      <c r="I641" s="152">
        <v>43733</v>
      </c>
      <c r="J641" s="153"/>
      <c r="K641" s="1407"/>
      <c r="L641" s="281">
        <f>I641+J641+K641</f>
        <v>43733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>
        <v>0</v>
      </c>
      <c r="G642" s="159"/>
      <c r="H642" s="1409"/>
      <c r="I642" s="158">
        <v>3432</v>
      </c>
      <c r="J642" s="159"/>
      <c r="K642" s="1409"/>
      <c r="L642" s="295">
        <f>I642+J642+K642</f>
        <v>3432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3" t="s">
        <v>189</v>
      </c>
      <c r="D646" s="1764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11787</v>
      </c>
      <c r="J646" s="275">
        <f t="shared" si="137"/>
        <v>0</v>
      </c>
      <c r="K646" s="276">
        <f t="shared" si="137"/>
        <v>0</v>
      </c>
      <c r="L646" s="273">
        <f t="shared" si="137"/>
        <v>11787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6704</v>
      </c>
      <c r="J647" s="153"/>
      <c r="K647" s="1407"/>
      <c r="L647" s="281">
        <f aca="true" t="shared" si="139" ref="L647:L654">I647+J647+K647</f>
        <v>6704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>
        <v>0</v>
      </c>
      <c r="G648" s="159"/>
      <c r="H648" s="1409"/>
      <c r="I648" s="158">
        <v>477</v>
      </c>
      <c r="J648" s="159"/>
      <c r="K648" s="1409"/>
      <c r="L648" s="295">
        <f t="shared" si="139"/>
        <v>477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2942</v>
      </c>
      <c r="J650" s="159"/>
      <c r="K650" s="1409"/>
      <c r="L650" s="295">
        <f t="shared" si="139"/>
        <v>2942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1664</v>
      </c>
      <c r="J651" s="159"/>
      <c r="K651" s="1409"/>
      <c r="L651" s="295">
        <f t="shared" si="139"/>
        <v>1664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5" t="s">
        <v>194</v>
      </c>
      <c r="D654" s="176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1" t="s">
        <v>195</v>
      </c>
      <c r="D655" s="1762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16357</v>
      </c>
      <c r="J655" s="275">
        <f t="shared" si="140"/>
        <v>0</v>
      </c>
      <c r="K655" s="276">
        <f t="shared" si="140"/>
        <v>0</v>
      </c>
      <c r="L655" s="310">
        <f t="shared" si="140"/>
        <v>16357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3268</v>
      </c>
      <c r="J659" s="159"/>
      <c r="K659" s="1409"/>
      <c r="L659" s="295">
        <f t="shared" si="142"/>
        <v>3268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4839</v>
      </c>
      <c r="J660" s="159"/>
      <c r="K660" s="1409"/>
      <c r="L660" s="295">
        <f t="shared" si="142"/>
        <v>4839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740</v>
      </c>
      <c r="J661" s="165"/>
      <c r="K661" s="1408"/>
      <c r="L661" s="314">
        <f t="shared" si="142"/>
        <v>740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7040</v>
      </c>
      <c r="J662" s="451"/>
      <c r="K662" s="1417"/>
      <c r="L662" s="320">
        <f t="shared" si="142"/>
        <v>7040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194</v>
      </c>
      <c r="J664" s="451"/>
      <c r="K664" s="1417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276</v>
      </c>
      <c r="J667" s="451"/>
      <c r="K667" s="1417"/>
      <c r="L667" s="320">
        <f t="shared" si="142"/>
        <v>276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7" t="s">
        <v>266</v>
      </c>
      <c r="D673" s="1768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7" t="s">
        <v>708</v>
      </c>
      <c r="D677" s="1768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7" t="s">
        <v>214</v>
      </c>
      <c r="D683" s="1768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7" t="s">
        <v>216</v>
      </c>
      <c r="D686" s="1768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7" t="s">
        <v>217</v>
      </c>
      <c r="D687" s="1758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7" t="s">
        <v>218</v>
      </c>
      <c r="D688" s="1758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7" t="s">
        <v>1647</v>
      </c>
      <c r="D689" s="1758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7" t="s">
        <v>219</v>
      </c>
      <c r="D690" s="1768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2041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7" t="s">
        <v>228</v>
      </c>
      <c r="D705" s="1768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7" t="s">
        <v>229</v>
      </c>
      <c r="D706" s="1768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7" t="s">
        <v>230</v>
      </c>
      <c r="D707" s="1768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7" t="s">
        <v>231</v>
      </c>
      <c r="D708" s="1768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7" t="s">
        <v>1648</v>
      </c>
      <c r="D715" s="1768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7" t="s">
        <v>1645</v>
      </c>
      <c r="D719" s="1768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7" t="s">
        <v>1646</v>
      </c>
      <c r="D720" s="1768"/>
      <c r="E720" s="310">
        <f t="shared" si="160"/>
        <v>0</v>
      </c>
      <c r="F720" s="1411"/>
      <c r="G720" s="1412"/>
      <c r="H720" s="1413"/>
      <c r="I720" s="1411">
        <v>36924</v>
      </c>
      <c r="J720" s="1412"/>
      <c r="K720" s="1413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57" t="s">
        <v>241</v>
      </c>
      <c r="D721" s="1758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7" t="s">
        <v>267</v>
      </c>
      <c r="D722" s="1768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1" t="s">
        <v>242</v>
      </c>
      <c r="D725" s="1772"/>
      <c r="E725" s="310">
        <f>F725+G725+H725</f>
        <v>0</v>
      </c>
      <c r="F725" s="1411"/>
      <c r="G725" s="1412"/>
      <c r="H725" s="1413"/>
      <c r="I725" s="1411">
        <v>352547</v>
      </c>
      <c r="J725" s="1412"/>
      <c r="K725" s="1413"/>
      <c r="L725" s="310">
        <f>I725+J725+K725</f>
        <v>352547</v>
      </c>
      <c r="M725" s="12">
        <f t="shared" si="155"/>
        <v>1</v>
      </c>
      <c r="N725" s="13"/>
    </row>
    <row r="726" spans="2:14" ht="15.75">
      <c r="B726" s="365">
        <v>5200</v>
      </c>
      <c r="C726" s="1771" t="s">
        <v>243</v>
      </c>
      <c r="D726" s="1772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1" t="s">
        <v>614</v>
      </c>
      <c r="D734" s="1772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1" t="s">
        <v>672</v>
      </c>
      <c r="D737" s="1772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7" t="s">
        <v>673</v>
      </c>
      <c r="D738" s="1768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3" t="s">
        <v>900</v>
      </c>
      <c r="D743" s="1774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69" t="s">
        <v>681</v>
      </c>
      <c r="D747" s="1770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69" t="s">
        <v>681</v>
      </c>
      <c r="D748" s="1770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477909</v>
      </c>
      <c r="J752" s="397">
        <f t="shared" si="169"/>
        <v>0</v>
      </c>
      <c r="K752" s="398">
        <f t="shared" si="169"/>
        <v>0</v>
      </c>
      <c r="L752" s="395">
        <f t="shared" si="169"/>
        <v>477909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8" t="s">
        <v>629</v>
      </c>
      <c r="B283" s="1659"/>
      <c r="C283" s="1659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3">
        <f>$B$7</f>
        <v>0</v>
      </c>
      <c r="J14" s="1744"/>
      <c r="K14" s="174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5">
        <f>$B$9</f>
        <v>0</v>
      </c>
      <c r="J16" s="1746"/>
      <c r="K16" s="174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8">
        <f>$B$12</f>
        <v>0</v>
      </c>
      <c r="J19" s="1749"/>
      <c r="K19" s="1750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51" t="str">
        <f>CONCATENATE("Уточнен план ",$C$3)</f>
        <v>Уточнен план </v>
      </c>
      <c r="M23" s="1752"/>
      <c r="N23" s="1752"/>
      <c r="O23" s="1753"/>
      <c r="P23" s="1754" t="str">
        <f>CONCATENATE("Отчет ",$C$3)</f>
        <v>Отчет </v>
      </c>
      <c r="Q23" s="1755"/>
      <c r="R23" s="1755"/>
      <c r="S23" s="175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9" t="s">
        <v>730</v>
      </c>
      <c r="K30" s="176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1" t="s">
        <v>733</v>
      </c>
      <c r="K33" s="176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3" t="s">
        <v>189</v>
      </c>
      <c r="K39" s="176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5" t="s">
        <v>194</v>
      </c>
      <c r="K47" s="176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1" t="s">
        <v>195</v>
      </c>
      <c r="K48" s="176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7" t="s">
        <v>266</v>
      </c>
      <c r="K66" s="176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7" t="s">
        <v>708</v>
      </c>
      <c r="K70" s="176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7" t="s">
        <v>214</v>
      </c>
      <c r="K76" s="176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7" t="s">
        <v>216</v>
      </c>
      <c r="K79" s="1768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217</v>
      </c>
      <c r="K80" s="1758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218</v>
      </c>
      <c r="K81" s="1758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1647</v>
      </c>
      <c r="K82" s="1758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7" t="s">
        <v>219</v>
      </c>
      <c r="K83" s="176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7" t="s">
        <v>228</v>
      </c>
      <c r="K98" s="1768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7" t="s">
        <v>229</v>
      </c>
      <c r="K99" s="1768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7" t="s">
        <v>230</v>
      </c>
      <c r="K100" s="1768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7" t="s">
        <v>231</v>
      </c>
      <c r="K101" s="176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7" t="s">
        <v>1648</v>
      </c>
      <c r="K108" s="176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7" t="s">
        <v>1645</v>
      </c>
      <c r="K112" s="1768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7" t="s">
        <v>1646</v>
      </c>
      <c r="K113" s="1768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241</v>
      </c>
      <c r="K114" s="1758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7" t="s">
        <v>267</v>
      </c>
      <c r="K115" s="176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1" t="s">
        <v>242</v>
      </c>
      <c r="K118" s="1772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1" t="s">
        <v>243</v>
      </c>
      <c r="K119" s="177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1" t="s">
        <v>614</v>
      </c>
      <c r="K127" s="177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1" t="s">
        <v>672</v>
      </c>
      <c r="K130" s="1772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7" t="s">
        <v>673</v>
      </c>
      <c r="K131" s="176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3" t="s">
        <v>900</v>
      </c>
      <c r="K136" s="177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69" t="s">
        <v>681</v>
      </c>
      <c r="K140" s="1770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9" t="s">
        <v>681</v>
      </c>
      <c r="K141" s="1770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2023-07-25T11:23:23Z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